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11340" windowHeight="8835" activeTab="0"/>
  </bookViews>
  <sheets>
    <sheet name="marts 2016" sheetId="7" r:id="rId1"/>
    <sheet name="Ark1" sheetId="6" r:id="rId2"/>
  </sheets>
  <definedNames/>
  <calcPr calcId="145621"/>
</workbook>
</file>

<file path=xl/sharedStrings.xml><?xml version="1.0" encoding="utf-8"?>
<sst xmlns="http://schemas.openxmlformats.org/spreadsheetml/2006/main" count="120" uniqueCount="62">
  <si>
    <t>Samlede tal</t>
  </si>
  <si>
    <t>Agerbæk Skole</t>
  </si>
  <si>
    <t>Alslev Skole</t>
  </si>
  <si>
    <t>Ansager Skole</t>
  </si>
  <si>
    <t>Billum Skole</t>
  </si>
  <si>
    <t>Brorsonskolen</t>
  </si>
  <si>
    <t>Horne Skole</t>
  </si>
  <si>
    <t>Janderup Skole</t>
  </si>
  <si>
    <t>Blåbjergskolen - Lunde-Kvong afd.</t>
  </si>
  <si>
    <t>Blåbjergskolen - Nr. Nebel afd.</t>
  </si>
  <si>
    <t>Lykkesgårdskolen</t>
  </si>
  <si>
    <t>Nordenskov Skole</t>
  </si>
  <si>
    <t>Næsbjerg Skole</t>
  </si>
  <si>
    <t>Outrup Skole</t>
  </si>
  <si>
    <t>Sct. Jacobi Skole</t>
  </si>
  <si>
    <t>Starup Skole</t>
  </si>
  <si>
    <t>Thorstrup Skole</t>
  </si>
  <si>
    <t>Tistrup Skole</t>
  </si>
  <si>
    <t>Ølgod Skole</t>
  </si>
  <si>
    <t>Årre Skole</t>
  </si>
  <si>
    <t>Tildeling i alt</t>
  </si>
  <si>
    <t>Tildeling pr. barn</t>
  </si>
  <si>
    <t>Minimumstildeling</t>
  </si>
  <si>
    <t>Fremmøde i uge 36</t>
  </si>
  <si>
    <t>100 kr./md.</t>
  </si>
  <si>
    <t>80 kr./md.</t>
  </si>
  <si>
    <t>200 kr. /md.</t>
  </si>
  <si>
    <t>150 kr./½ år</t>
  </si>
  <si>
    <t>0 kr./md.</t>
  </si>
  <si>
    <t>100 kr./½ år</t>
  </si>
  <si>
    <t>50 kr./md.</t>
  </si>
  <si>
    <t>200 kr. /½ år</t>
  </si>
  <si>
    <t>Fremmøde i uge 36 i % af antal tilmeldte</t>
  </si>
  <si>
    <t>Tilmeldte i % af samlet potientielle brugere</t>
  </si>
  <si>
    <t>Eksempel på  tilskud (efter regulering)</t>
  </si>
  <si>
    <t xml:space="preserve">Jfr. fælleskommunale retningslinier for juniorklubtilbud ved skolerne i Varde kommune (dok. 140039-14) opgøres medlemstallet 2 gange årligt (5. marts og 5. september) som et </t>
  </si>
  <si>
    <t>gennemsnit af antallet af daglige brugere og tildeling af kommunale midler justeres i forhold hertil.</t>
  </si>
  <si>
    <t>Samlet antal elever i 4. - 6. kl. pr. 5/9-2015</t>
  </si>
  <si>
    <t xml:space="preserve">Juniorklub  </t>
  </si>
  <si>
    <t>Antal børn tilmeldte juniorklub-tilbud pr. 5/9-2015</t>
  </si>
  <si>
    <t>Junior-klubbens åbnings-dage</t>
  </si>
  <si>
    <t>Kontingent</t>
  </si>
  <si>
    <t>Antal børn tilmeldte juniorklub-tilbud pr. 1/11-2015</t>
  </si>
  <si>
    <t>Fremmøde i november 2015</t>
  </si>
  <si>
    <t>Fremmøde i november i % af antal tilmeldte</t>
  </si>
  <si>
    <t>Noter:</t>
  </si>
  <si>
    <t>+ 1 aftenåbning pr. uge (ikke medregnet)</t>
  </si>
  <si>
    <t>+ 3 aftenåbning i måneden (ikke medregnet)</t>
  </si>
  <si>
    <t>Faktuel åbent 4 dage pr. uge</t>
  </si>
  <si>
    <t xml:space="preserve">incl. 1 dag/ugt. kun for 6. kl. </t>
  </si>
  <si>
    <t>Antal børn tilmeldte juniorklub-tilbud pr. 5/3-2016</t>
  </si>
  <si>
    <t>Fremmøde i uge 9 + 10 2016</t>
  </si>
  <si>
    <t>Fremmøde i uge 9 + 10 i % af antal tilmeldte</t>
  </si>
  <si>
    <t xml:space="preserve">+1 søndagsåbning (ikke medregnet)            </t>
  </si>
  <si>
    <t>Uge 10 - 3 dage med teater på skolen</t>
  </si>
  <si>
    <t>Gens. frem-mødte</t>
  </si>
  <si>
    <t>Gens. frem-mødte i % af tilmeldte</t>
  </si>
  <si>
    <t>Tilskud</t>
  </si>
  <si>
    <t>Blåvandshuk skole (Samuelsgården)</t>
  </si>
  <si>
    <t>500 kr./md.</t>
  </si>
  <si>
    <t>SFO 2</t>
  </si>
  <si>
    <t>Antal indmeldte og fremmødte i juniorklubber i skoleåret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</si>
</sst>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 * #,##0.0_ ;_ * \-#,##0.0_ ;_ * &quot;-&quot;_ ;_ @_ "/>
    <numFmt numFmtId="166" formatCode="_ * #,##0_ ;_ * \-#,##0_ ;_ * &quot;-&quot;??_ ;_ @_ "/>
    <numFmt numFmtId="167" formatCode="0.0"/>
  </numFmts>
  <fonts count="5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8F5F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Border="1" applyAlignment="1">
      <alignment vertical="justify"/>
    </xf>
    <xf numFmtId="0" fontId="2" fillId="0" borderId="1" xfId="0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3" xfId="0" applyNumberFormat="1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41" fontId="2" fillId="0" borderId="5" xfId="0" applyNumberFormat="1" applyFont="1" applyBorder="1"/>
    <xf numFmtId="164" fontId="2" fillId="0" borderId="1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vertical="justify"/>
    </xf>
    <xf numFmtId="0" fontId="2" fillId="0" borderId="8" xfId="0" applyFont="1" applyBorder="1"/>
    <xf numFmtId="0" fontId="1" fillId="0" borderId="0" xfId="0" applyFont="1"/>
    <xf numFmtId="3" fontId="2" fillId="2" borderId="2" xfId="0" applyNumberFormat="1" applyFont="1" applyFill="1" applyBorder="1"/>
    <xf numFmtId="0" fontId="3" fillId="0" borderId="0" xfId="0" applyFont="1"/>
    <xf numFmtId="0" fontId="1" fillId="0" borderId="5" xfId="0" applyFont="1" applyBorder="1" applyAlignment="1">
      <alignment wrapText="1"/>
    </xf>
    <xf numFmtId="0" fontId="1" fillId="0" borderId="8" xfId="0" applyFont="1" applyBorder="1"/>
    <xf numFmtId="3" fontId="1" fillId="0" borderId="0" xfId="0" applyNumberFormat="1" applyFont="1"/>
    <xf numFmtId="0" fontId="1" fillId="3" borderId="4" xfId="0" applyFont="1" applyFill="1" applyBorder="1" applyAlignment="1">
      <alignment wrapText="1"/>
    </xf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166" fontId="2" fillId="0" borderId="2" xfId="20" applyNumberFormat="1" applyFont="1" applyBorder="1"/>
    <xf numFmtId="0" fontId="2" fillId="0" borderId="0" xfId="0" applyFont="1"/>
    <xf numFmtId="41" fontId="2" fillId="0" borderId="2" xfId="0" applyNumberFormat="1" applyFont="1" applyBorder="1"/>
    <xf numFmtId="41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/>
    <xf numFmtId="0" fontId="1" fillId="4" borderId="5" xfId="0" applyFont="1" applyFill="1" applyBorder="1" applyAlignment="1">
      <alignment wrapText="1"/>
    </xf>
    <xf numFmtId="0" fontId="2" fillId="4" borderId="1" xfId="0" applyFont="1" applyFill="1" applyBorder="1"/>
    <xf numFmtId="41" fontId="2" fillId="4" borderId="2" xfId="0" applyNumberFormat="1" applyFont="1" applyFill="1" applyBorder="1"/>
    <xf numFmtId="165" fontId="2" fillId="4" borderId="2" xfId="0" applyNumberFormat="1" applyFont="1" applyFill="1" applyBorder="1"/>
    <xf numFmtId="41" fontId="2" fillId="4" borderId="3" xfId="0" applyNumberFormat="1" applyFont="1" applyFill="1" applyBorder="1"/>
    <xf numFmtId="41" fontId="2" fillId="4" borderId="5" xfId="0" applyNumberFormat="1" applyFont="1" applyFill="1" applyBorder="1"/>
    <xf numFmtId="0" fontId="1" fillId="0" borderId="9" xfId="0" applyFont="1" applyBorder="1" applyAlignment="1">
      <alignment vertical="justify"/>
    </xf>
    <xf numFmtId="3" fontId="2" fillId="2" borderId="3" xfId="0" applyNumberFormat="1" applyFont="1" applyFill="1" applyBorder="1"/>
    <xf numFmtId="0" fontId="2" fillId="0" borderId="3" xfId="0" applyFont="1" applyBorder="1"/>
    <xf numFmtId="165" fontId="2" fillId="0" borderId="5" xfId="0" applyNumberFormat="1" applyFont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3" fontId="4" fillId="4" borderId="2" xfId="0" applyNumberFormat="1" applyFont="1" applyFill="1" applyBorder="1"/>
    <xf numFmtId="3" fontId="4" fillId="4" borderId="3" xfId="0" applyNumberFormat="1" applyFont="1" applyFill="1" applyBorder="1"/>
    <xf numFmtId="2" fontId="2" fillId="0" borderId="0" xfId="0" applyNumberFormat="1" applyFont="1"/>
    <xf numFmtId="0" fontId="2" fillId="0" borderId="10" xfId="0" applyFont="1" applyBorder="1"/>
    <xf numFmtId="166" fontId="4" fillId="0" borderId="11" xfId="20" applyNumberFormat="1" applyFont="1" applyBorder="1" quotePrefix="1"/>
    <xf numFmtId="0" fontId="4" fillId="0" borderId="11" xfId="0" applyFont="1" applyBorder="1"/>
    <xf numFmtId="0" fontId="4" fillId="0" borderId="11" xfId="0" applyFont="1" applyBorder="1" applyAlignment="1" quotePrefix="1">
      <alignment wrapText="1"/>
    </xf>
    <xf numFmtId="0" fontId="4" fillId="0" borderId="11" xfId="0" applyFont="1" applyBorder="1" quotePrefix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1" fontId="2" fillId="0" borderId="4" xfId="0" applyNumberFormat="1" applyFont="1" applyBorder="1"/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7" fontId="2" fillId="0" borderId="11" xfId="0" applyNumberFormat="1" applyFont="1" applyBorder="1"/>
    <xf numFmtId="167" fontId="2" fillId="0" borderId="12" xfId="0" applyNumberFormat="1" applyFont="1" applyBorder="1"/>
    <xf numFmtId="167" fontId="2" fillId="0" borderId="13" xfId="0" applyNumberFormat="1" applyFont="1" applyBorder="1"/>
    <xf numFmtId="0" fontId="1" fillId="0" borderId="14" xfId="0" applyFont="1" applyBorder="1" applyAlignment="1">
      <alignment wrapText="1"/>
    </xf>
    <xf numFmtId="166" fontId="2" fillId="0" borderId="15" xfId="20" applyNumberFormat="1" applyFont="1" applyBorder="1"/>
    <xf numFmtId="0" fontId="1" fillId="0" borderId="16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="110" zoomScaleNormal="110" workbookViewId="0" topLeftCell="A1">
      <selection activeCell="B27" sqref="B27"/>
    </sheetView>
  </sheetViews>
  <sheetFormatPr defaultColWidth="9.140625" defaultRowHeight="12.75"/>
  <cols>
    <col min="1" max="1" width="28.57421875" style="3" customWidth="1"/>
    <col min="2" max="2" width="10.8515625" style="3" customWidth="1"/>
    <col min="3" max="3" width="9.8515625" style="3" customWidth="1"/>
    <col min="4" max="4" width="10.28125" style="3" customWidth="1"/>
    <col min="5" max="5" width="12.8515625" style="3" hidden="1" customWidth="1"/>
    <col min="6" max="6" width="8.140625" style="3" hidden="1" customWidth="1"/>
    <col min="7" max="7" width="10.8515625" style="3" hidden="1" customWidth="1"/>
    <col min="8" max="9" width="10.00390625" style="3" customWidth="1"/>
    <col min="10" max="10" width="11.57421875" style="3" hidden="1" customWidth="1"/>
    <col min="11" max="11" width="10.00390625" style="25" customWidth="1"/>
    <col min="12" max="12" width="12.8515625" style="25" hidden="1" customWidth="1"/>
    <col min="13" max="13" width="8.140625" style="25" hidden="1" customWidth="1"/>
    <col min="14" max="14" width="10.8515625" style="25" hidden="1" customWidth="1"/>
    <col min="15" max="15" width="10.421875" style="25" customWidth="1"/>
    <col min="16" max="16" width="10.28125" style="25" customWidth="1"/>
    <col min="17" max="17" width="10.00390625" style="25" customWidth="1"/>
    <col min="18" max="18" width="12.8515625" style="25" hidden="1" customWidth="1"/>
    <col min="19" max="19" width="8.140625" style="25" customWidth="1"/>
    <col min="20" max="20" width="10.8515625" style="25" customWidth="1"/>
    <col min="21" max="22" width="10.28125" style="25" customWidth="1"/>
    <col min="23" max="23" width="29.00390625" style="3" customWidth="1"/>
    <col min="24" max="25" width="9.140625" style="3" customWidth="1"/>
    <col min="26" max="26" width="12.7109375" style="3" customWidth="1"/>
    <col min="27" max="16384" width="9.140625" style="3" customWidth="1"/>
  </cols>
  <sheetData>
    <row r="1" ht="15.75">
      <c r="A1" s="17" t="s">
        <v>61</v>
      </c>
    </row>
    <row r="2" ht="12.75" thickBot="1"/>
    <row r="3" spans="1:26" s="1" customFormat="1" ht="68.25" customHeight="1" thickBot="1">
      <c r="A3" s="21" t="s">
        <v>38</v>
      </c>
      <c r="B3" s="18" t="s">
        <v>37</v>
      </c>
      <c r="C3" s="18" t="s">
        <v>39</v>
      </c>
      <c r="D3" s="18" t="s">
        <v>33</v>
      </c>
      <c r="E3" s="18" t="s">
        <v>20</v>
      </c>
      <c r="F3" s="18" t="s">
        <v>40</v>
      </c>
      <c r="G3" s="18" t="s">
        <v>41</v>
      </c>
      <c r="H3" s="18" t="s">
        <v>23</v>
      </c>
      <c r="I3" s="18" t="s">
        <v>32</v>
      </c>
      <c r="J3" s="29" t="s">
        <v>34</v>
      </c>
      <c r="K3" s="18" t="s">
        <v>42</v>
      </c>
      <c r="L3" s="18" t="s">
        <v>20</v>
      </c>
      <c r="M3" s="18" t="s">
        <v>40</v>
      </c>
      <c r="N3" s="18" t="s">
        <v>41</v>
      </c>
      <c r="O3" s="18" t="s">
        <v>43</v>
      </c>
      <c r="P3" s="18" t="s">
        <v>44</v>
      </c>
      <c r="Q3" s="18" t="s">
        <v>50</v>
      </c>
      <c r="R3" s="18" t="s">
        <v>20</v>
      </c>
      <c r="S3" s="18" t="s">
        <v>40</v>
      </c>
      <c r="T3" s="18" t="s">
        <v>41</v>
      </c>
      <c r="U3" s="18" t="s">
        <v>51</v>
      </c>
      <c r="V3" s="18" t="s">
        <v>52</v>
      </c>
      <c r="W3" s="35" t="s">
        <v>45</v>
      </c>
      <c r="X3" s="55" t="s">
        <v>55</v>
      </c>
      <c r="Y3" s="56" t="s">
        <v>56</v>
      </c>
      <c r="Z3" s="60" t="s">
        <v>57</v>
      </c>
    </row>
    <row r="4" spans="1:26" ht="12.75">
      <c r="A4" s="11"/>
      <c r="B4" s="2"/>
      <c r="C4" s="2"/>
      <c r="D4" s="2"/>
      <c r="E4" s="2"/>
      <c r="F4" s="2"/>
      <c r="G4" s="2"/>
      <c r="H4" s="2"/>
      <c r="I4" s="2"/>
      <c r="J4" s="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4"/>
      <c r="X4" s="2"/>
      <c r="Y4" s="44"/>
      <c r="Z4" s="51"/>
    </row>
    <row r="5" spans="1:26" ht="12.75">
      <c r="A5" s="12" t="s">
        <v>1</v>
      </c>
      <c r="B5" s="4">
        <f>17+20+21</f>
        <v>58</v>
      </c>
      <c r="C5" s="16">
        <v>37</v>
      </c>
      <c r="D5" s="23">
        <f>C5/B5%</f>
        <v>63.793103448275865</v>
      </c>
      <c r="E5" s="4">
        <f>C5*$C$33</f>
        <v>423989.44169999997</v>
      </c>
      <c r="F5" s="4">
        <v>3</v>
      </c>
      <c r="G5" s="22" t="s">
        <v>25</v>
      </c>
      <c r="H5" s="24">
        <v>23.3</v>
      </c>
      <c r="I5" s="23">
        <f>H5/C5%</f>
        <v>62.972972972972975</v>
      </c>
      <c r="J5" s="31">
        <f>IF((E5*I5%)&lt;$C$35,$C$35,E5*I5%)</f>
        <v>266998.75652999996</v>
      </c>
      <c r="K5" s="39">
        <v>34</v>
      </c>
      <c r="L5" s="26">
        <f aca="true" t="shared" si="0" ref="L5:L23">K5*$C$33</f>
        <v>389611.91939999996</v>
      </c>
      <c r="M5" s="26">
        <v>3</v>
      </c>
      <c r="N5" s="27" t="s">
        <v>25</v>
      </c>
      <c r="O5" s="24">
        <f>(18+17+20+13+21+12+11+20+16+21+16+14)/12</f>
        <v>16.583333333333332</v>
      </c>
      <c r="P5" s="28">
        <f aca="true" t="shared" si="1" ref="P5:P23">O5/K5%</f>
        <v>48.77450980392156</v>
      </c>
      <c r="Q5" s="41">
        <v>34</v>
      </c>
      <c r="R5" s="26">
        <f aca="true" t="shared" si="2" ref="R5:R23">Q5*$C$33</f>
        <v>389611.91939999996</v>
      </c>
      <c r="S5" s="26">
        <v>3</v>
      </c>
      <c r="T5" s="27" t="s">
        <v>25</v>
      </c>
      <c r="U5" s="24">
        <f>(14+14+13+15+13+16)/6</f>
        <v>14.166666666666666</v>
      </c>
      <c r="V5" s="28">
        <f aca="true" t="shared" si="3" ref="V5:V23">U5/Q5%</f>
        <v>41.666666666666664</v>
      </c>
      <c r="W5" s="45" t="s">
        <v>46</v>
      </c>
      <c r="X5" s="52">
        <f>(U5+O5+H5)/3</f>
        <v>18.016666666666666</v>
      </c>
      <c r="Y5" s="57">
        <f>(V5+P5+I5)/3</f>
        <v>51.1380498145204</v>
      </c>
      <c r="Z5" s="24">
        <f>IF(X5&lt;17,$C$35,X5*$C$33)</f>
        <v>206456.12003499997</v>
      </c>
    </row>
    <row r="6" spans="1:26" ht="12.75">
      <c r="A6" s="12" t="s">
        <v>2</v>
      </c>
      <c r="B6" s="4">
        <f>25+23+26</f>
        <v>74</v>
      </c>
      <c r="C6" s="16">
        <v>26</v>
      </c>
      <c r="D6" s="23">
        <f aca="true" t="shared" si="4" ref="D6:D23">C6/B6%</f>
        <v>35.13513513513514</v>
      </c>
      <c r="E6" s="4">
        <f aca="true" t="shared" si="5" ref="E6:E23">C6*$C$33</f>
        <v>297938.5266</v>
      </c>
      <c r="F6" s="4">
        <v>3</v>
      </c>
      <c r="G6" s="22" t="s">
        <v>26</v>
      </c>
      <c r="H6" s="24">
        <v>16.3</v>
      </c>
      <c r="I6" s="23">
        <f aca="true" t="shared" si="6" ref="I6:I23">H6/C6%</f>
        <v>62.69230769230769</v>
      </c>
      <c r="J6" s="31">
        <f aca="true" t="shared" si="7" ref="J6:J23">IF((E6*I6%)&lt;$C$35,$C$35,E6*I6%)</f>
        <v>194515.19999999998</v>
      </c>
      <c r="K6" s="39">
        <v>34</v>
      </c>
      <c r="L6" s="26">
        <f t="shared" si="0"/>
        <v>389611.91939999996</v>
      </c>
      <c r="M6" s="26">
        <v>3</v>
      </c>
      <c r="N6" s="27" t="s">
        <v>26</v>
      </c>
      <c r="O6" s="24">
        <f>(14+15+15+14+16+17+12+14+14+16+15+12)/12</f>
        <v>14.5</v>
      </c>
      <c r="P6" s="28">
        <f t="shared" si="1"/>
        <v>42.647058823529406</v>
      </c>
      <c r="Q6" s="41">
        <v>32</v>
      </c>
      <c r="R6" s="26">
        <f t="shared" si="2"/>
        <v>366693.57119999995</v>
      </c>
      <c r="S6" s="26">
        <v>3</v>
      </c>
      <c r="T6" s="27" t="s">
        <v>26</v>
      </c>
      <c r="U6" s="24">
        <f>(19+19+19+15+15+18)/6</f>
        <v>17.5</v>
      </c>
      <c r="V6" s="28">
        <f>U6/Q6%</f>
        <v>54.6875</v>
      </c>
      <c r="W6" s="45" t="s">
        <v>46</v>
      </c>
      <c r="X6" s="52">
        <f>(U6+O6+H6)/3</f>
        <v>16.099999999999998</v>
      </c>
      <c r="Y6" s="57">
        <f aca="true" t="shared" si="8" ref="Y6:Y22">(V6+P6+I6)/3</f>
        <v>53.34228883861237</v>
      </c>
      <c r="Z6" s="24">
        <f aca="true" t="shared" si="9" ref="Z6:Z23">IF(X6&lt;17,$C$35,X6*$C$33)</f>
        <v>194515.19999999998</v>
      </c>
    </row>
    <row r="7" spans="1:26" ht="12.75">
      <c r="A7" s="12" t="s">
        <v>3</v>
      </c>
      <c r="B7" s="4">
        <f>23+15+19</f>
        <v>57</v>
      </c>
      <c r="C7" s="16">
        <v>32</v>
      </c>
      <c r="D7" s="23">
        <f t="shared" si="4"/>
        <v>56.140350877192986</v>
      </c>
      <c r="E7" s="4">
        <f t="shared" si="5"/>
        <v>366693.57119999995</v>
      </c>
      <c r="F7" s="4">
        <v>4</v>
      </c>
      <c r="G7" s="22" t="s">
        <v>24</v>
      </c>
      <c r="H7" s="24">
        <v>23.5</v>
      </c>
      <c r="I7" s="23">
        <f t="shared" si="6"/>
        <v>73.4375</v>
      </c>
      <c r="J7" s="31">
        <f t="shared" si="7"/>
        <v>269290.59134999994</v>
      </c>
      <c r="K7" s="39">
        <v>36</v>
      </c>
      <c r="L7" s="26">
        <f t="shared" si="0"/>
        <v>412530.26759999996</v>
      </c>
      <c r="M7" s="26">
        <v>4</v>
      </c>
      <c r="N7" s="27" t="s">
        <v>24</v>
      </c>
      <c r="O7" s="24">
        <f>(24+25+25+27+27+24+26+28+28+25+29+26+25+26+26+25)/16</f>
        <v>26</v>
      </c>
      <c r="P7" s="28">
        <f t="shared" si="1"/>
        <v>72.22222222222223</v>
      </c>
      <c r="Q7" s="41">
        <v>39</v>
      </c>
      <c r="R7" s="26">
        <f t="shared" si="2"/>
        <v>446907.7898999999</v>
      </c>
      <c r="S7" s="26">
        <v>4</v>
      </c>
      <c r="T7" s="27" t="s">
        <v>24</v>
      </c>
      <c r="U7" s="24">
        <f>(20+22+22+22+25+19+21+18)/8</f>
        <v>21.125</v>
      </c>
      <c r="V7" s="28">
        <f t="shared" si="3"/>
        <v>54.166666666666664</v>
      </c>
      <c r="W7" s="46"/>
      <c r="X7" s="52">
        <f aca="true" t="shared" si="10" ref="X7:X23">(U7+O7+H7)/3</f>
        <v>23.541666666666668</v>
      </c>
      <c r="Y7" s="57">
        <f t="shared" si="8"/>
        <v>66.60879629629629</v>
      </c>
      <c r="Z7" s="24">
        <f t="shared" si="9"/>
        <v>269768.05693749996</v>
      </c>
    </row>
    <row r="8" spans="1:26" ht="12.75">
      <c r="A8" s="12" t="s">
        <v>4</v>
      </c>
      <c r="B8" s="4">
        <f>15+9+9</f>
        <v>33</v>
      </c>
      <c r="C8" s="16">
        <v>31</v>
      </c>
      <c r="D8" s="23">
        <f t="shared" si="4"/>
        <v>93.93939393939394</v>
      </c>
      <c r="E8" s="4">
        <f t="shared" si="5"/>
        <v>355234.39709999994</v>
      </c>
      <c r="F8" s="4">
        <v>4</v>
      </c>
      <c r="G8" s="22" t="s">
        <v>27</v>
      </c>
      <c r="H8" s="24">
        <v>18.25</v>
      </c>
      <c r="I8" s="23">
        <f t="shared" si="6"/>
        <v>58.87096774193549</v>
      </c>
      <c r="J8" s="31">
        <f t="shared" si="7"/>
        <v>209129.92732499997</v>
      </c>
      <c r="K8" s="39">
        <v>31</v>
      </c>
      <c r="L8" s="26">
        <f t="shared" si="0"/>
        <v>355234.39709999994</v>
      </c>
      <c r="M8" s="26">
        <v>4</v>
      </c>
      <c r="N8" s="27" t="s">
        <v>27</v>
      </c>
      <c r="O8" s="24">
        <f>(12+11+14+17+9+14+23+12+8+12+14+15+14+14+16+16)/16</f>
        <v>13.8125</v>
      </c>
      <c r="P8" s="28">
        <f t="shared" si="1"/>
        <v>44.556451612903224</v>
      </c>
      <c r="Q8" s="41">
        <v>28</v>
      </c>
      <c r="R8" s="26">
        <f t="shared" si="2"/>
        <v>320856.87479999993</v>
      </c>
      <c r="S8" s="26">
        <v>4</v>
      </c>
      <c r="T8" s="27" t="s">
        <v>27</v>
      </c>
      <c r="U8" s="24">
        <f>(5+6+5+19+5+6+5+19)/8</f>
        <v>8.75</v>
      </c>
      <c r="V8" s="28">
        <f t="shared" si="3"/>
        <v>31.249999999999996</v>
      </c>
      <c r="W8" s="46"/>
      <c r="X8" s="52">
        <f t="shared" si="10"/>
        <v>13.604166666666666</v>
      </c>
      <c r="Y8" s="57">
        <f t="shared" si="8"/>
        <v>44.892473118279575</v>
      </c>
      <c r="Z8" s="24">
        <f t="shared" si="9"/>
        <v>194515.19999999998</v>
      </c>
    </row>
    <row r="9" spans="1:26" ht="13.7" customHeight="1">
      <c r="A9" s="12" t="s">
        <v>8</v>
      </c>
      <c r="B9" s="4">
        <f>22+20+10</f>
        <v>52</v>
      </c>
      <c r="C9" s="16">
        <v>46</v>
      </c>
      <c r="D9" s="23">
        <f t="shared" si="4"/>
        <v>88.46153846153845</v>
      </c>
      <c r="E9" s="4">
        <f t="shared" si="5"/>
        <v>527122.0086</v>
      </c>
      <c r="F9" s="4">
        <v>4</v>
      </c>
      <c r="G9" s="22" t="s">
        <v>28</v>
      </c>
      <c r="H9" s="24">
        <v>25.75</v>
      </c>
      <c r="I9" s="23">
        <f t="shared" si="6"/>
        <v>55.97826086956521</v>
      </c>
      <c r="J9" s="31">
        <f t="shared" si="7"/>
        <v>295073.73307499994</v>
      </c>
      <c r="K9" s="39">
        <v>49</v>
      </c>
      <c r="L9" s="26">
        <f t="shared" si="0"/>
        <v>561499.5308999999</v>
      </c>
      <c r="M9" s="26">
        <v>4</v>
      </c>
      <c r="N9" s="27" t="s">
        <v>28</v>
      </c>
      <c r="O9" s="24">
        <f>(29+30+25+22+20+26+32+24+33+19+27+28+29+32+31+24)/16</f>
        <v>26.9375</v>
      </c>
      <c r="P9" s="28">
        <f t="shared" si="1"/>
        <v>54.974489795918366</v>
      </c>
      <c r="Q9" s="41">
        <v>50</v>
      </c>
      <c r="R9" s="26">
        <f t="shared" si="2"/>
        <v>572958.705</v>
      </c>
      <c r="S9" s="26">
        <v>4</v>
      </c>
      <c r="T9" s="27" t="s">
        <v>28</v>
      </c>
      <c r="U9" s="24">
        <f>(30+24+24+24+26+20+24+21)/8</f>
        <v>24.125</v>
      </c>
      <c r="V9" s="28">
        <f t="shared" si="3"/>
        <v>48.25</v>
      </c>
      <c r="W9" s="46"/>
      <c r="X9" s="52">
        <f t="shared" si="10"/>
        <v>25.604166666666668</v>
      </c>
      <c r="Y9" s="57">
        <f t="shared" si="8"/>
        <v>53.0675835551612</v>
      </c>
      <c r="Z9" s="24">
        <f t="shared" si="9"/>
        <v>293402.60351875</v>
      </c>
    </row>
    <row r="10" spans="1:26" ht="12.75">
      <c r="A10" s="12" t="s">
        <v>9</v>
      </c>
      <c r="B10" s="4">
        <f>22+24+26</f>
        <v>72</v>
      </c>
      <c r="C10" s="16">
        <v>71</v>
      </c>
      <c r="D10" s="23">
        <f t="shared" si="4"/>
        <v>98.61111111111111</v>
      </c>
      <c r="E10" s="4">
        <f t="shared" si="5"/>
        <v>813601.3610999999</v>
      </c>
      <c r="F10" s="4">
        <v>4</v>
      </c>
      <c r="G10" s="22" t="s">
        <v>28</v>
      </c>
      <c r="H10" s="24">
        <v>48.25</v>
      </c>
      <c r="I10" s="23">
        <f t="shared" si="6"/>
        <v>67.95774647887325</v>
      </c>
      <c r="J10" s="31">
        <f t="shared" si="7"/>
        <v>552905.1503249999</v>
      </c>
      <c r="K10" s="39">
        <v>71</v>
      </c>
      <c r="L10" s="26">
        <f t="shared" si="0"/>
        <v>813601.3610999999</v>
      </c>
      <c r="M10" s="26">
        <v>4</v>
      </c>
      <c r="N10" s="27" t="s">
        <v>28</v>
      </c>
      <c r="O10" s="24">
        <f>(31+39+25+36+24+36+19+37+35+41+26+39+25+31+24+55)/16</f>
        <v>32.6875</v>
      </c>
      <c r="P10" s="28">
        <f t="shared" si="1"/>
        <v>46.0387323943662</v>
      </c>
      <c r="Q10" s="41">
        <v>72</v>
      </c>
      <c r="R10" s="26">
        <f t="shared" si="2"/>
        <v>825060.5351999999</v>
      </c>
      <c r="S10" s="26">
        <v>4</v>
      </c>
      <c r="T10" s="27" t="s">
        <v>28</v>
      </c>
      <c r="U10" s="24">
        <f>(29+24+44+33+31+12+15+11)/8</f>
        <v>24.875</v>
      </c>
      <c r="V10" s="28">
        <f t="shared" si="3"/>
        <v>34.548611111111114</v>
      </c>
      <c r="W10" s="46" t="s">
        <v>54</v>
      </c>
      <c r="X10" s="52">
        <f t="shared" si="10"/>
        <v>35.270833333333336</v>
      </c>
      <c r="Y10" s="57">
        <f t="shared" si="8"/>
        <v>49.515029994783525</v>
      </c>
      <c r="Z10" s="24">
        <f t="shared" si="9"/>
        <v>404174.61981874995</v>
      </c>
    </row>
    <row r="11" spans="1:26" ht="12.75">
      <c r="A11" s="12" t="s">
        <v>5</v>
      </c>
      <c r="B11" s="4">
        <f>75+74+77</f>
        <v>226</v>
      </c>
      <c r="C11" s="16">
        <v>125</v>
      </c>
      <c r="D11" s="23">
        <f t="shared" si="4"/>
        <v>55.30973451327434</v>
      </c>
      <c r="E11" s="4">
        <f t="shared" si="5"/>
        <v>1432396.7624999997</v>
      </c>
      <c r="F11" s="4">
        <v>4</v>
      </c>
      <c r="G11" s="22" t="s">
        <v>28</v>
      </c>
      <c r="H11" s="24">
        <v>29.25</v>
      </c>
      <c r="I11" s="23">
        <f t="shared" si="6"/>
        <v>23.4</v>
      </c>
      <c r="J11" s="31">
        <f t="shared" si="7"/>
        <v>335180.8424249999</v>
      </c>
      <c r="K11" s="39">
        <v>128</v>
      </c>
      <c r="L11" s="26">
        <f t="shared" si="0"/>
        <v>1466774.2847999998</v>
      </c>
      <c r="M11" s="26">
        <v>4</v>
      </c>
      <c r="N11" s="27" t="s">
        <v>28</v>
      </c>
      <c r="O11" s="24">
        <f>(8+20+7+5+8+12+15+31+10+12+8+17+12+10+11+17)/16</f>
        <v>12.6875</v>
      </c>
      <c r="P11" s="28">
        <f t="shared" si="1"/>
        <v>9.912109375</v>
      </c>
      <c r="Q11" s="41">
        <v>138</v>
      </c>
      <c r="R11" s="26">
        <f t="shared" si="2"/>
        <v>1581366.0257999997</v>
      </c>
      <c r="S11" s="26">
        <v>4</v>
      </c>
      <c r="T11" s="27" t="s">
        <v>28</v>
      </c>
      <c r="U11" s="24">
        <f>(22+12+14+14+12+23+13+19)/8</f>
        <v>16.125</v>
      </c>
      <c r="V11" s="28">
        <f t="shared" si="3"/>
        <v>11.684782608695652</v>
      </c>
      <c r="W11" s="46"/>
      <c r="X11" s="52">
        <f t="shared" si="10"/>
        <v>19.354166666666668</v>
      </c>
      <c r="Y11" s="57">
        <f t="shared" si="8"/>
        <v>14.998963994565216</v>
      </c>
      <c r="Z11" s="24">
        <f t="shared" si="9"/>
        <v>221782.76539374999</v>
      </c>
    </row>
    <row r="12" spans="1:26" ht="12.75">
      <c r="A12" s="12" t="s">
        <v>6</v>
      </c>
      <c r="B12" s="4">
        <f>11+12+13</f>
        <v>36</v>
      </c>
      <c r="C12" s="16">
        <v>24</v>
      </c>
      <c r="D12" s="23">
        <f t="shared" si="4"/>
        <v>66.66666666666667</v>
      </c>
      <c r="E12" s="4">
        <f>C12*$C$33</f>
        <v>275020.1784</v>
      </c>
      <c r="F12" s="4">
        <v>3</v>
      </c>
      <c r="G12" s="22" t="s">
        <v>24</v>
      </c>
      <c r="H12" s="24">
        <v>12</v>
      </c>
      <c r="I12" s="23">
        <f t="shared" si="6"/>
        <v>50</v>
      </c>
      <c r="J12" s="31">
        <f t="shared" si="7"/>
        <v>194515.19999999998</v>
      </c>
      <c r="K12" s="39">
        <v>26</v>
      </c>
      <c r="L12" s="26">
        <f t="shared" si="0"/>
        <v>297938.5266</v>
      </c>
      <c r="M12" s="26">
        <v>3</v>
      </c>
      <c r="N12" s="27" t="s">
        <v>24</v>
      </c>
      <c r="O12" s="24">
        <f>(11+16+12+9+13+13+19+13+14+15+14+10)/12</f>
        <v>13.25</v>
      </c>
      <c r="P12" s="28">
        <f t="shared" si="1"/>
        <v>50.96153846153846</v>
      </c>
      <c r="Q12" s="41">
        <v>23</v>
      </c>
      <c r="R12" s="26">
        <f t="shared" si="2"/>
        <v>263561.0043</v>
      </c>
      <c r="S12" s="26">
        <v>3</v>
      </c>
      <c r="T12" s="27" t="s">
        <v>24</v>
      </c>
      <c r="U12" s="24">
        <f>(5+3+7+9+8+8)/6</f>
        <v>6.666666666666667</v>
      </c>
      <c r="V12" s="28">
        <f t="shared" si="3"/>
        <v>28.985507246376812</v>
      </c>
      <c r="W12" s="46"/>
      <c r="X12" s="52">
        <f t="shared" si="10"/>
        <v>10.63888888888889</v>
      </c>
      <c r="Y12" s="57">
        <f t="shared" si="8"/>
        <v>43.315681902638424</v>
      </c>
      <c r="Z12" s="24">
        <f t="shared" si="9"/>
        <v>194515.19999999998</v>
      </c>
    </row>
    <row r="13" spans="1:26" ht="12.75">
      <c r="A13" s="13" t="s">
        <v>7</v>
      </c>
      <c r="B13" s="4">
        <f>11+17+12</f>
        <v>40</v>
      </c>
      <c r="C13" s="16">
        <v>40</v>
      </c>
      <c r="D13" s="23">
        <f t="shared" si="4"/>
        <v>100</v>
      </c>
      <c r="E13" s="4">
        <f>C13*$C$33</f>
        <v>458366.9639999999</v>
      </c>
      <c r="F13" s="4">
        <v>3</v>
      </c>
      <c r="G13" s="22" t="s">
        <v>28</v>
      </c>
      <c r="H13" s="24">
        <v>25.6</v>
      </c>
      <c r="I13" s="23">
        <f t="shared" si="6"/>
        <v>64</v>
      </c>
      <c r="J13" s="31">
        <f t="shared" si="7"/>
        <v>293354.85695999995</v>
      </c>
      <c r="K13" s="39">
        <v>39</v>
      </c>
      <c r="L13" s="26">
        <f t="shared" si="0"/>
        <v>446907.7898999999</v>
      </c>
      <c r="M13" s="26">
        <v>3</v>
      </c>
      <c r="N13" s="27" t="s">
        <v>28</v>
      </c>
      <c r="O13" s="24">
        <f>(20+25+18+17+30+22+25+18+23+15+19+21)/12</f>
        <v>21.083333333333332</v>
      </c>
      <c r="P13" s="28">
        <f t="shared" si="1"/>
        <v>54.059829059829056</v>
      </c>
      <c r="Q13" s="41">
        <v>40</v>
      </c>
      <c r="R13" s="26">
        <f t="shared" si="2"/>
        <v>458366.9639999999</v>
      </c>
      <c r="S13" s="26">
        <v>3</v>
      </c>
      <c r="T13" s="27" t="s">
        <v>28</v>
      </c>
      <c r="U13" s="24">
        <f>(17+16+18+27+22+18)/6</f>
        <v>19.666666666666668</v>
      </c>
      <c r="V13" s="28">
        <f t="shared" si="3"/>
        <v>49.166666666666664</v>
      </c>
      <c r="W13" s="46"/>
      <c r="X13" s="52">
        <f t="shared" si="10"/>
        <v>22.116666666666664</v>
      </c>
      <c r="Y13" s="57">
        <f t="shared" si="8"/>
        <v>55.74216524216524</v>
      </c>
      <c r="Z13" s="24">
        <f t="shared" si="9"/>
        <v>253438.73384499992</v>
      </c>
    </row>
    <row r="14" spans="1:26" ht="12.75">
      <c r="A14" s="12" t="s">
        <v>10</v>
      </c>
      <c r="B14" s="4">
        <f>44+49+43</f>
        <v>136</v>
      </c>
      <c r="C14" s="16">
        <v>98</v>
      </c>
      <c r="D14" s="23">
        <f t="shared" si="4"/>
        <v>72.05882352941175</v>
      </c>
      <c r="E14" s="4">
        <f t="shared" si="5"/>
        <v>1122999.0617999998</v>
      </c>
      <c r="F14" s="4">
        <v>3</v>
      </c>
      <c r="G14" s="22" t="s">
        <v>28</v>
      </c>
      <c r="H14" s="24">
        <v>40.6</v>
      </c>
      <c r="I14" s="23">
        <f t="shared" si="6"/>
        <v>41.42857142857143</v>
      </c>
      <c r="J14" s="31">
        <f t="shared" si="7"/>
        <v>465242.46845999995</v>
      </c>
      <c r="K14" s="39">
        <v>105</v>
      </c>
      <c r="L14" s="26">
        <f t="shared" si="0"/>
        <v>1203213.2804999999</v>
      </c>
      <c r="M14" s="26">
        <v>3</v>
      </c>
      <c r="N14" s="27" t="s">
        <v>28</v>
      </c>
      <c r="O14" s="24">
        <f>(26+28+32+31+28+33+28+33+34+22+29+50)/12</f>
        <v>31.166666666666668</v>
      </c>
      <c r="P14" s="28">
        <f t="shared" si="1"/>
        <v>29.682539682539684</v>
      </c>
      <c r="Q14" s="41">
        <v>104</v>
      </c>
      <c r="R14" s="26">
        <f t="shared" si="2"/>
        <v>1191754.1064</v>
      </c>
      <c r="S14" s="26">
        <v>3</v>
      </c>
      <c r="T14" s="27" t="s">
        <v>28</v>
      </c>
      <c r="U14" s="24">
        <f>(22+25+34+18+20+27)/6</f>
        <v>24.333333333333332</v>
      </c>
      <c r="V14" s="28">
        <f t="shared" si="3"/>
        <v>23.397435897435894</v>
      </c>
      <c r="W14" s="46"/>
      <c r="X14" s="52">
        <f t="shared" si="10"/>
        <v>32.03333333333333</v>
      </c>
      <c r="Y14" s="57">
        <f t="shared" si="8"/>
        <v>31.502849002849004</v>
      </c>
      <c r="Z14" s="24">
        <f t="shared" si="9"/>
        <v>367075.5436699999</v>
      </c>
    </row>
    <row r="15" spans="1:26" ht="12.75">
      <c r="A15" s="12" t="s">
        <v>11</v>
      </c>
      <c r="B15" s="4">
        <f>18+15+19</f>
        <v>52</v>
      </c>
      <c r="C15" s="16">
        <v>39</v>
      </c>
      <c r="D15" s="23">
        <f t="shared" si="4"/>
        <v>75</v>
      </c>
      <c r="E15" s="4">
        <f t="shared" si="5"/>
        <v>446907.7898999999</v>
      </c>
      <c r="F15" s="4">
        <v>3</v>
      </c>
      <c r="G15" s="22" t="s">
        <v>28</v>
      </c>
      <c r="H15" s="24">
        <v>17</v>
      </c>
      <c r="I15" s="23">
        <f t="shared" si="6"/>
        <v>43.58974358974359</v>
      </c>
      <c r="J15" s="31">
        <f t="shared" si="7"/>
        <v>194805.95969999998</v>
      </c>
      <c r="K15" s="39">
        <v>42</v>
      </c>
      <c r="L15" s="26">
        <f t="shared" si="0"/>
        <v>481285.3121999999</v>
      </c>
      <c r="M15" s="26">
        <v>3</v>
      </c>
      <c r="N15" s="27" t="s">
        <v>28</v>
      </c>
      <c r="O15" s="24">
        <f>(19+12+12+19+11+15+17+7+23+11+21+32)/12</f>
        <v>16.583333333333332</v>
      </c>
      <c r="P15" s="28">
        <f t="shared" si="1"/>
        <v>39.48412698412698</v>
      </c>
      <c r="Q15" s="41">
        <v>42</v>
      </c>
      <c r="R15" s="26">
        <f t="shared" si="2"/>
        <v>481285.3121999999</v>
      </c>
      <c r="S15" s="26">
        <v>3</v>
      </c>
      <c r="T15" s="27" t="s">
        <v>28</v>
      </c>
      <c r="U15" s="24">
        <f>(14+11+12+12+11+8)/6</f>
        <v>11.333333333333334</v>
      </c>
      <c r="V15" s="28">
        <f t="shared" si="3"/>
        <v>26.984126984126988</v>
      </c>
      <c r="W15" s="46"/>
      <c r="X15" s="52">
        <f t="shared" si="10"/>
        <v>14.972222222222221</v>
      </c>
      <c r="Y15" s="57">
        <f t="shared" si="8"/>
        <v>36.68599918599919</v>
      </c>
      <c r="Z15" s="24">
        <f t="shared" si="9"/>
        <v>194515.19999999998</v>
      </c>
    </row>
    <row r="16" spans="1:26" ht="12.75">
      <c r="A16" s="12" t="s">
        <v>12</v>
      </c>
      <c r="B16" s="4">
        <f>21+24+23</f>
        <v>68</v>
      </c>
      <c r="C16" s="16">
        <v>52</v>
      </c>
      <c r="D16" s="23">
        <f t="shared" si="4"/>
        <v>76.47058823529412</v>
      </c>
      <c r="E16" s="4">
        <f t="shared" si="5"/>
        <v>595877.0532</v>
      </c>
      <c r="F16" s="4">
        <v>3</v>
      </c>
      <c r="G16" s="22" t="s">
        <v>29</v>
      </c>
      <c r="H16" s="24">
        <v>28</v>
      </c>
      <c r="I16" s="23">
        <f t="shared" si="6"/>
        <v>53.84615384615385</v>
      </c>
      <c r="J16" s="31">
        <f t="shared" si="7"/>
        <v>320856.8748</v>
      </c>
      <c r="K16" s="39">
        <v>55</v>
      </c>
      <c r="L16" s="26">
        <f t="shared" si="0"/>
        <v>630254.5754999999</v>
      </c>
      <c r="M16" s="26">
        <v>3</v>
      </c>
      <c r="N16" s="27" t="s">
        <v>29</v>
      </c>
      <c r="O16" s="24">
        <f>(24+27+7+20+38+4+19+23+14+28+30+5)/12</f>
        <v>19.916666666666668</v>
      </c>
      <c r="P16" s="28">
        <f t="shared" si="1"/>
        <v>36.21212121212121</v>
      </c>
      <c r="Q16" s="41">
        <v>55</v>
      </c>
      <c r="R16" s="26">
        <f t="shared" si="2"/>
        <v>630254.5754999999</v>
      </c>
      <c r="S16" s="26">
        <v>3</v>
      </c>
      <c r="T16" s="27" t="s">
        <v>29</v>
      </c>
      <c r="U16" s="24">
        <f>(21+29+19+29+4)/6</f>
        <v>17</v>
      </c>
      <c r="V16" s="28">
        <f t="shared" si="3"/>
        <v>30.909090909090907</v>
      </c>
      <c r="W16" s="46"/>
      <c r="X16" s="52">
        <f t="shared" si="10"/>
        <v>21.63888888888889</v>
      </c>
      <c r="Y16" s="57">
        <f t="shared" si="8"/>
        <v>40.32245532245532</v>
      </c>
      <c r="Z16" s="24">
        <f t="shared" si="9"/>
        <v>247963.7951083333</v>
      </c>
    </row>
    <row r="17" spans="1:26" ht="12.75">
      <c r="A17" s="12" t="s">
        <v>13</v>
      </c>
      <c r="B17" s="4">
        <f>19+21+26</f>
        <v>66</v>
      </c>
      <c r="C17" s="16">
        <v>25</v>
      </c>
      <c r="D17" s="23">
        <f t="shared" si="4"/>
        <v>37.878787878787875</v>
      </c>
      <c r="E17" s="4">
        <f t="shared" si="5"/>
        <v>286479.3525</v>
      </c>
      <c r="F17" s="4">
        <v>3</v>
      </c>
      <c r="G17" s="22" t="s">
        <v>30</v>
      </c>
      <c r="H17" s="24">
        <v>8.6</v>
      </c>
      <c r="I17" s="23">
        <f t="shared" si="6"/>
        <v>34.4</v>
      </c>
      <c r="J17" s="31">
        <f t="shared" si="7"/>
        <v>194515.19999999998</v>
      </c>
      <c r="K17" s="39">
        <v>23</v>
      </c>
      <c r="L17" s="26">
        <f t="shared" si="0"/>
        <v>263561.0043</v>
      </c>
      <c r="M17" s="26">
        <v>3</v>
      </c>
      <c r="N17" s="27" t="s">
        <v>30</v>
      </c>
      <c r="O17" s="24">
        <f>(2+7+7+7+1+5+5+10+4+4+7+7+7+9)/14</f>
        <v>5.857142857142857</v>
      </c>
      <c r="P17" s="28">
        <f t="shared" si="1"/>
        <v>25.465838509316768</v>
      </c>
      <c r="Q17" s="41">
        <v>19</v>
      </c>
      <c r="R17" s="26">
        <f t="shared" si="2"/>
        <v>217724.30789999996</v>
      </c>
      <c r="S17" s="26">
        <v>3</v>
      </c>
      <c r="T17" s="27" t="s">
        <v>30</v>
      </c>
      <c r="U17" s="24">
        <f>(6*8)/6</f>
        <v>8</v>
      </c>
      <c r="V17" s="28">
        <f t="shared" si="3"/>
        <v>42.10526315789474</v>
      </c>
      <c r="W17" s="46" t="s">
        <v>48</v>
      </c>
      <c r="X17" s="52">
        <f t="shared" si="10"/>
        <v>7.485714285714285</v>
      </c>
      <c r="Y17" s="57">
        <f t="shared" si="8"/>
        <v>33.99036722240384</v>
      </c>
      <c r="Z17" s="24">
        <f t="shared" si="9"/>
        <v>194515.19999999998</v>
      </c>
    </row>
    <row r="18" spans="1:26" ht="24">
      <c r="A18" s="12" t="s">
        <v>14</v>
      </c>
      <c r="B18" s="4">
        <f>27+25+35</f>
        <v>87</v>
      </c>
      <c r="C18" s="16">
        <v>58</v>
      </c>
      <c r="D18" s="23">
        <f t="shared" si="4"/>
        <v>66.66666666666667</v>
      </c>
      <c r="E18" s="4">
        <f t="shared" si="5"/>
        <v>664632.0977999999</v>
      </c>
      <c r="F18" s="4">
        <v>4</v>
      </c>
      <c r="G18" s="22" t="s">
        <v>28</v>
      </c>
      <c r="H18" s="24">
        <v>44.3</v>
      </c>
      <c r="I18" s="23">
        <f t="shared" si="6"/>
        <v>76.37931034482759</v>
      </c>
      <c r="J18" s="31">
        <f t="shared" si="7"/>
        <v>507641.4126299999</v>
      </c>
      <c r="K18" s="39">
        <v>62</v>
      </c>
      <c r="L18" s="26">
        <f t="shared" si="0"/>
        <v>710468.7941999999</v>
      </c>
      <c r="M18" s="26">
        <v>4</v>
      </c>
      <c r="N18" s="27" t="s">
        <v>28</v>
      </c>
      <c r="O18" s="24">
        <f>(15+19+22+20+23+18+27+24+21+23+15+26)/12</f>
        <v>21.083333333333332</v>
      </c>
      <c r="P18" s="28">
        <f t="shared" si="1"/>
        <v>34.00537634408602</v>
      </c>
      <c r="Q18" s="41">
        <v>50</v>
      </c>
      <c r="R18" s="26">
        <f t="shared" si="2"/>
        <v>572958.705</v>
      </c>
      <c r="S18" s="26">
        <v>3</v>
      </c>
      <c r="T18" s="27" t="s">
        <v>28</v>
      </c>
      <c r="U18" s="24">
        <f>(11+15+13+10+11+17)/6</f>
        <v>12.833333333333334</v>
      </c>
      <c r="V18" s="28">
        <f t="shared" si="3"/>
        <v>25.666666666666668</v>
      </c>
      <c r="W18" s="47" t="s">
        <v>53</v>
      </c>
      <c r="X18" s="52">
        <f t="shared" si="10"/>
        <v>26.072222222222223</v>
      </c>
      <c r="Y18" s="57">
        <f t="shared" si="8"/>
        <v>45.350451118526756</v>
      </c>
      <c r="Z18" s="24">
        <f t="shared" si="9"/>
        <v>298766.1336183333</v>
      </c>
    </row>
    <row r="19" spans="1:26" ht="12.75">
      <c r="A19" s="12" t="s">
        <v>15</v>
      </c>
      <c r="B19" s="4">
        <f>19+22+14</f>
        <v>55</v>
      </c>
      <c r="C19" s="16">
        <v>27</v>
      </c>
      <c r="D19" s="23">
        <f t="shared" si="4"/>
        <v>49.090909090909086</v>
      </c>
      <c r="E19" s="4">
        <f t="shared" si="5"/>
        <v>309397.7006999999</v>
      </c>
      <c r="F19" s="4">
        <v>3</v>
      </c>
      <c r="G19" s="22" t="s">
        <v>25</v>
      </c>
      <c r="H19" s="24">
        <v>7.33</v>
      </c>
      <c r="I19" s="23">
        <f t="shared" si="6"/>
        <v>27.148148148148145</v>
      </c>
      <c r="J19" s="31">
        <f t="shared" si="7"/>
        <v>194515.19999999998</v>
      </c>
      <c r="K19" s="39">
        <v>33</v>
      </c>
      <c r="L19" s="26">
        <f t="shared" si="0"/>
        <v>378152.74529999995</v>
      </c>
      <c r="M19" s="26">
        <v>3</v>
      </c>
      <c r="N19" s="27" t="s">
        <v>25</v>
      </c>
      <c r="O19" s="24">
        <f>(8+15+11+10+10+8+8+19+11+9+15+13)/12</f>
        <v>11.416666666666666</v>
      </c>
      <c r="P19" s="28">
        <f t="shared" si="1"/>
        <v>34.59595959595959</v>
      </c>
      <c r="Q19" s="41">
        <v>34</v>
      </c>
      <c r="R19" s="26">
        <f t="shared" si="2"/>
        <v>389611.91939999996</v>
      </c>
      <c r="S19" s="26">
        <v>3</v>
      </c>
      <c r="T19" s="27" t="s">
        <v>25</v>
      </c>
      <c r="U19" s="24">
        <f>(7+12+4+7+15+5)/6</f>
        <v>8.333333333333334</v>
      </c>
      <c r="V19" s="28">
        <f t="shared" si="3"/>
        <v>24.50980392156863</v>
      </c>
      <c r="W19" s="45" t="s">
        <v>47</v>
      </c>
      <c r="X19" s="52">
        <f t="shared" si="10"/>
        <v>9.026666666666666</v>
      </c>
      <c r="Y19" s="57">
        <f t="shared" si="8"/>
        <v>28.751303888558784</v>
      </c>
      <c r="Z19" s="24">
        <f t="shared" si="9"/>
        <v>194515.19999999998</v>
      </c>
    </row>
    <row r="20" spans="1:26" ht="12.75">
      <c r="A20" s="12" t="s">
        <v>16</v>
      </c>
      <c r="B20" s="4">
        <f>13+17+18</f>
        <v>48</v>
      </c>
      <c r="C20" s="16">
        <f>41+1</f>
        <v>42</v>
      </c>
      <c r="D20" s="23">
        <f t="shared" si="4"/>
        <v>87.5</v>
      </c>
      <c r="E20" s="4">
        <f t="shared" si="5"/>
        <v>481285.3121999999</v>
      </c>
      <c r="F20" s="4">
        <v>3</v>
      </c>
      <c r="G20" s="22" t="s">
        <v>31</v>
      </c>
      <c r="H20" s="24">
        <v>20</v>
      </c>
      <c r="I20" s="23">
        <f t="shared" si="6"/>
        <v>47.61904761904762</v>
      </c>
      <c r="J20" s="31">
        <f t="shared" si="7"/>
        <v>229183.482</v>
      </c>
      <c r="K20" s="39">
        <v>43</v>
      </c>
      <c r="L20" s="26">
        <f t="shared" si="0"/>
        <v>492744.48629999993</v>
      </c>
      <c r="M20" s="26">
        <v>3</v>
      </c>
      <c r="N20" s="27" t="s">
        <v>31</v>
      </c>
      <c r="O20" s="24">
        <f>(9+8+12+11+14+9+12+14+14+13+11+12+11+4+12+9)/16</f>
        <v>10.9375</v>
      </c>
      <c r="P20" s="28">
        <f t="shared" si="1"/>
        <v>25.436046511627907</v>
      </c>
      <c r="Q20" s="41">
        <v>43</v>
      </c>
      <c r="R20" s="26">
        <f t="shared" si="2"/>
        <v>492744.48629999993</v>
      </c>
      <c r="S20" s="26">
        <v>3</v>
      </c>
      <c r="T20" s="27" t="s">
        <v>31</v>
      </c>
      <c r="U20" s="24">
        <f>(9+7+13+16+10+14)/6</f>
        <v>11.5</v>
      </c>
      <c r="V20" s="28">
        <f t="shared" si="3"/>
        <v>26.74418604651163</v>
      </c>
      <c r="W20" s="46" t="s">
        <v>49</v>
      </c>
      <c r="X20" s="52">
        <f t="shared" si="10"/>
        <v>14.145833333333334</v>
      </c>
      <c r="Y20" s="57">
        <f t="shared" si="8"/>
        <v>33.266426725729055</v>
      </c>
      <c r="Z20" s="24">
        <f t="shared" si="9"/>
        <v>194515.19999999998</v>
      </c>
    </row>
    <row r="21" spans="1:26" ht="12.75">
      <c r="A21" s="12" t="s">
        <v>17</v>
      </c>
      <c r="B21" s="4">
        <f>18+23+10</f>
        <v>51</v>
      </c>
      <c r="C21" s="16">
        <v>17</v>
      </c>
      <c r="D21" s="23">
        <f t="shared" si="4"/>
        <v>33.333333333333336</v>
      </c>
      <c r="E21" s="4">
        <f t="shared" si="5"/>
        <v>194805.95969999998</v>
      </c>
      <c r="F21" s="4">
        <v>3</v>
      </c>
      <c r="G21" s="22" t="s">
        <v>24</v>
      </c>
      <c r="H21" s="24">
        <v>13.7</v>
      </c>
      <c r="I21" s="23">
        <f t="shared" si="6"/>
        <v>80.58823529411764</v>
      </c>
      <c r="J21" s="31">
        <f t="shared" si="7"/>
        <v>194515.19999999998</v>
      </c>
      <c r="K21" s="39">
        <v>17</v>
      </c>
      <c r="L21" s="26">
        <f t="shared" si="0"/>
        <v>194805.95969999998</v>
      </c>
      <c r="M21" s="26">
        <v>3</v>
      </c>
      <c r="N21" s="27" t="s">
        <v>24</v>
      </c>
      <c r="O21" s="24">
        <f>(7+9+6+9+10+6+9+5+10+6+11+4)/12</f>
        <v>7.666666666666667</v>
      </c>
      <c r="P21" s="28">
        <f t="shared" si="1"/>
        <v>45.09803921568627</v>
      </c>
      <c r="Q21" s="41">
        <v>16</v>
      </c>
      <c r="R21" s="26">
        <f t="shared" si="2"/>
        <v>183346.78559999997</v>
      </c>
      <c r="S21" s="26">
        <v>3</v>
      </c>
      <c r="T21" s="27" t="s">
        <v>24</v>
      </c>
      <c r="U21" s="24">
        <f>(14+13+10+14+12+11)/6</f>
        <v>12.333333333333334</v>
      </c>
      <c r="V21" s="28">
        <f t="shared" si="3"/>
        <v>77.08333333333333</v>
      </c>
      <c r="W21" s="46"/>
      <c r="X21" s="52">
        <f t="shared" si="10"/>
        <v>11.233333333333334</v>
      </c>
      <c r="Y21" s="57">
        <f t="shared" si="8"/>
        <v>67.58986928104575</v>
      </c>
      <c r="Z21" s="24">
        <f t="shared" si="9"/>
        <v>194515.19999999998</v>
      </c>
    </row>
    <row r="22" spans="1:26" ht="12.75">
      <c r="A22" s="12" t="s">
        <v>18</v>
      </c>
      <c r="B22" s="4">
        <f>57+64+58</f>
        <v>179</v>
      </c>
      <c r="C22" s="16">
        <v>109</v>
      </c>
      <c r="D22" s="23">
        <f t="shared" si="4"/>
        <v>60.89385474860335</v>
      </c>
      <c r="E22" s="4">
        <f t="shared" si="5"/>
        <v>1249049.9769</v>
      </c>
      <c r="F22" s="4">
        <v>4</v>
      </c>
      <c r="G22" s="22" t="s">
        <v>28</v>
      </c>
      <c r="H22" s="24">
        <v>38</v>
      </c>
      <c r="I22" s="23">
        <f t="shared" si="6"/>
        <v>34.862385321100916</v>
      </c>
      <c r="J22" s="31">
        <f t="shared" si="7"/>
        <v>435448.6157999999</v>
      </c>
      <c r="K22" s="39">
        <v>125</v>
      </c>
      <c r="L22" s="26">
        <f t="shared" si="0"/>
        <v>1432396.7624999997</v>
      </c>
      <c r="M22" s="26">
        <v>4</v>
      </c>
      <c r="N22" s="27" t="s">
        <v>28</v>
      </c>
      <c r="O22" s="24">
        <f>(32+28+28+27+25+22+38+20+31+23+37+22+33+24+39+27)/16</f>
        <v>28.5</v>
      </c>
      <c r="P22" s="28">
        <f t="shared" si="1"/>
        <v>22.8</v>
      </c>
      <c r="Q22" s="41">
        <v>132</v>
      </c>
      <c r="R22" s="26">
        <f t="shared" si="2"/>
        <v>1512610.9811999998</v>
      </c>
      <c r="S22" s="26">
        <v>4</v>
      </c>
      <c r="T22" s="27" t="s">
        <v>28</v>
      </c>
      <c r="U22" s="24">
        <f>(31+16+23+29+31+19+30+26)/8</f>
        <v>25.625</v>
      </c>
      <c r="V22" s="28">
        <f t="shared" si="3"/>
        <v>19.412878787878785</v>
      </c>
      <c r="W22" s="48"/>
      <c r="X22" s="52">
        <f t="shared" si="10"/>
        <v>30.708333333333332</v>
      </c>
      <c r="Y22" s="57">
        <f t="shared" si="8"/>
        <v>25.691754702993233</v>
      </c>
      <c r="Z22" s="24">
        <f t="shared" si="9"/>
        <v>351892.13798749994</v>
      </c>
    </row>
    <row r="23" spans="1:26" ht="12.75">
      <c r="A23" s="12" t="s">
        <v>19</v>
      </c>
      <c r="B23" s="4">
        <f>18+19+19</f>
        <v>56</v>
      </c>
      <c r="C23" s="16">
        <f>52+2</f>
        <v>54</v>
      </c>
      <c r="D23" s="23">
        <f t="shared" si="4"/>
        <v>96.42857142857142</v>
      </c>
      <c r="E23" s="4">
        <f t="shared" si="5"/>
        <v>618795.4013999999</v>
      </c>
      <c r="F23" s="4">
        <v>3</v>
      </c>
      <c r="G23" s="22" t="s">
        <v>28</v>
      </c>
      <c r="H23" s="24">
        <v>31.3</v>
      </c>
      <c r="I23" s="23">
        <f t="shared" si="6"/>
        <v>57.96296296296296</v>
      </c>
      <c r="J23" s="31">
        <f t="shared" si="7"/>
        <v>358672.1493299999</v>
      </c>
      <c r="K23" s="39">
        <v>54</v>
      </c>
      <c r="L23" s="26">
        <f t="shared" si="0"/>
        <v>618795.4013999999</v>
      </c>
      <c r="M23" s="26">
        <v>3</v>
      </c>
      <c r="N23" s="27" t="s">
        <v>28</v>
      </c>
      <c r="O23" s="24">
        <f>(26+27+22+22+29+26+28+26+22+26+8)/11</f>
        <v>23.818181818181817</v>
      </c>
      <c r="P23" s="28">
        <f t="shared" si="1"/>
        <v>44.107744107744104</v>
      </c>
      <c r="Q23" s="41">
        <v>55</v>
      </c>
      <c r="R23" s="26">
        <f t="shared" si="2"/>
        <v>630254.5754999999</v>
      </c>
      <c r="S23" s="26">
        <v>3</v>
      </c>
      <c r="T23" s="27" t="s">
        <v>28</v>
      </c>
      <c r="U23" s="24">
        <f>(30+22+38)/3</f>
        <v>30</v>
      </c>
      <c r="V23" s="28">
        <f t="shared" si="3"/>
        <v>54.54545454545454</v>
      </c>
      <c r="W23" s="46"/>
      <c r="X23" s="52">
        <f t="shared" si="10"/>
        <v>28.37272727272727</v>
      </c>
      <c r="Y23" s="57">
        <f>(V23+P23+I23)/3</f>
        <v>52.205387205387204</v>
      </c>
      <c r="Z23" s="24">
        <f t="shared" si="9"/>
        <v>325128.02150999993</v>
      </c>
    </row>
    <row r="24" spans="1:26" ht="12.75">
      <c r="A24" s="14"/>
      <c r="B24" s="4"/>
      <c r="C24" s="16"/>
      <c r="D24" s="4"/>
      <c r="E24" s="4"/>
      <c r="F24" s="4"/>
      <c r="G24" s="22"/>
      <c r="H24" s="24"/>
      <c r="I24" s="4"/>
      <c r="J24" s="31"/>
      <c r="K24" s="39"/>
      <c r="L24" s="26"/>
      <c r="M24" s="26"/>
      <c r="N24" s="27"/>
      <c r="O24" s="24"/>
      <c r="P24" s="26"/>
      <c r="Q24" s="41"/>
      <c r="R24" s="26"/>
      <c r="S24" s="26"/>
      <c r="T24" s="27"/>
      <c r="U24" s="24"/>
      <c r="V24" s="26"/>
      <c r="W24" s="46"/>
      <c r="X24" s="52"/>
      <c r="Y24" s="57"/>
      <c r="Z24" s="51"/>
    </row>
    <row r="25" spans="1:26" ht="12.75">
      <c r="A25" s="19"/>
      <c r="B25" s="4"/>
      <c r="C25" s="16"/>
      <c r="D25" s="4"/>
      <c r="E25" s="4"/>
      <c r="F25" s="4"/>
      <c r="G25" s="22"/>
      <c r="H25" s="4"/>
      <c r="I25" s="4"/>
      <c r="J25" s="31"/>
      <c r="K25" s="39"/>
      <c r="L25" s="26"/>
      <c r="M25" s="26"/>
      <c r="N25" s="27"/>
      <c r="O25" s="26"/>
      <c r="P25" s="26"/>
      <c r="Q25" s="41"/>
      <c r="R25" s="26"/>
      <c r="S25" s="26"/>
      <c r="T25" s="27"/>
      <c r="U25" s="26"/>
      <c r="V25" s="26"/>
      <c r="W25" s="46"/>
      <c r="X25" s="52"/>
      <c r="Y25" s="57"/>
      <c r="Z25" s="51"/>
    </row>
    <row r="26" spans="1:26" ht="12.75">
      <c r="A26" s="14"/>
      <c r="B26" s="4"/>
      <c r="C26" s="16"/>
      <c r="D26" s="23"/>
      <c r="E26" s="4"/>
      <c r="F26" s="26"/>
      <c r="G26" s="27"/>
      <c r="H26" s="26"/>
      <c r="I26" s="28"/>
      <c r="J26" s="32"/>
      <c r="K26" s="39"/>
      <c r="L26" s="26"/>
      <c r="M26" s="26"/>
      <c r="N26" s="27"/>
      <c r="O26" s="26"/>
      <c r="P26" s="28"/>
      <c r="Q26" s="41"/>
      <c r="R26" s="26"/>
      <c r="S26" s="26"/>
      <c r="T26" s="27"/>
      <c r="U26" s="26"/>
      <c r="V26" s="28"/>
      <c r="W26" s="46"/>
      <c r="X26" s="52"/>
      <c r="Y26" s="57"/>
      <c r="Z26" s="51"/>
    </row>
    <row r="27" spans="1:26" s="6" customFormat="1" ht="12.75" thickBot="1">
      <c r="A27" s="14"/>
      <c r="B27" s="5"/>
      <c r="C27" s="36"/>
      <c r="D27" s="5"/>
      <c r="E27" s="5"/>
      <c r="F27" s="5"/>
      <c r="G27" s="5"/>
      <c r="H27" s="5"/>
      <c r="I27" s="5"/>
      <c r="J27" s="33"/>
      <c r="K27" s="40"/>
      <c r="L27" s="5"/>
      <c r="M27" s="5"/>
      <c r="N27" s="5"/>
      <c r="O27" s="5"/>
      <c r="P27" s="5"/>
      <c r="Q27" s="42"/>
      <c r="R27" s="5"/>
      <c r="S27" s="5"/>
      <c r="T27" s="5"/>
      <c r="U27" s="5"/>
      <c r="V27" s="5"/>
      <c r="W27" s="49"/>
      <c r="X27" s="53"/>
      <c r="Y27" s="58"/>
      <c r="Z27" s="37"/>
    </row>
    <row r="28" spans="1:26" s="6" customFormat="1" ht="12.75" thickBot="1">
      <c r="A28" s="7" t="s">
        <v>0</v>
      </c>
      <c r="B28" s="9">
        <f>SUM(B5:B27)</f>
        <v>1446</v>
      </c>
      <c r="C28" s="8">
        <f>SUM(C5:C27)</f>
        <v>953</v>
      </c>
      <c r="D28" s="38">
        <f>C28/B28%</f>
        <v>65.90594744121715</v>
      </c>
      <c r="E28" s="9">
        <f>SUM(E5:E26)</f>
        <v>10920592.917299997</v>
      </c>
      <c r="F28" s="9"/>
      <c r="G28" s="9"/>
      <c r="H28" s="9">
        <f>SUM(H5:H27)</f>
        <v>471.03000000000003</v>
      </c>
      <c r="I28" s="38">
        <f>H28/(C28-C26)%</f>
        <v>49.42602308499476</v>
      </c>
      <c r="J28" s="34">
        <f>SUM(J5:J26)</f>
        <v>5706360.82071</v>
      </c>
      <c r="K28" s="8">
        <f>SUM(K5:K27)</f>
        <v>1007</v>
      </c>
      <c r="L28" s="9">
        <f>SUM(L5:L26)</f>
        <v>11539388.318699997</v>
      </c>
      <c r="M28" s="9"/>
      <c r="N28" s="9"/>
      <c r="O28" s="9">
        <f>SUM(O5:O27)</f>
        <v>354.4878246753247</v>
      </c>
      <c r="P28" s="38">
        <f>O28/(K28-K26)%</f>
        <v>35.202365906189144</v>
      </c>
      <c r="Q28" s="8">
        <f>SUM(Q5:Q27)</f>
        <v>1006</v>
      </c>
      <c r="R28" s="9">
        <f>SUM(R5:R26)</f>
        <v>11527929.144599998</v>
      </c>
      <c r="S28" s="9"/>
      <c r="T28" s="9"/>
      <c r="U28" s="9">
        <f>SUM(U5:U27)</f>
        <v>314.2916666666667</v>
      </c>
      <c r="V28" s="38">
        <f>U28/(Q28-Q26)%</f>
        <v>31.241716368455933</v>
      </c>
      <c r="W28" s="50"/>
      <c r="X28" s="54">
        <f aca="true" t="shared" si="11" ref="X28">(U28+O28+H28)/3</f>
        <v>379.9364971139971</v>
      </c>
      <c r="Y28" s="59">
        <f aca="true" t="shared" si="12" ref="Y28">(V28+P28+I28)/3</f>
        <v>38.62336845321328</v>
      </c>
      <c r="Z28" s="61">
        <f>SUM(Z5:Z27)</f>
        <v>4795970.1314429175</v>
      </c>
    </row>
    <row r="29" spans="1:26" ht="12.75">
      <c r="A29" s="2"/>
      <c r="B29" s="2"/>
      <c r="C29" s="10"/>
      <c r="D29" s="2"/>
      <c r="E29" s="2"/>
      <c r="F29" s="2"/>
      <c r="G29" s="2"/>
      <c r="H29" s="2"/>
      <c r="I29" s="2"/>
      <c r="J29" s="30"/>
      <c r="K29" s="10"/>
      <c r="L29" s="2"/>
      <c r="M29" s="2"/>
      <c r="N29" s="2"/>
      <c r="O29" s="2"/>
      <c r="P29" s="2"/>
      <c r="Q29" s="10">
        <f>Q28/B28</f>
        <v>0.6957123098201936</v>
      </c>
      <c r="R29" s="2"/>
      <c r="S29" s="2"/>
      <c r="T29" s="2"/>
      <c r="U29" s="2"/>
      <c r="V29" s="2"/>
      <c r="W29" s="44"/>
      <c r="X29" s="2"/>
      <c r="Y29" s="44"/>
      <c r="Z29" s="2"/>
    </row>
    <row r="30" spans="1:26" s="25" customFormat="1" ht="12.75">
      <c r="A30" s="62" t="s">
        <v>60</v>
      </c>
      <c r="B30" s="2"/>
      <c r="C30" s="10"/>
      <c r="D30" s="2"/>
      <c r="E30" s="2"/>
      <c r="F30" s="2"/>
      <c r="G30" s="2"/>
      <c r="H30" s="2"/>
      <c r="I30" s="2"/>
      <c r="J30" s="30"/>
      <c r="K30" s="10"/>
      <c r="L30" s="2"/>
      <c r="M30" s="2"/>
      <c r="N30" s="2"/>
      <c r="O30" s="2"/>
      <c r="P30" s="2"/>
      <c r="Q30" s="10"/>
      <c r="R30" s="2"/>
      <c r="S30" s="2"/>
      <c r="T30" s="2"/>
      <c r="U30" s="2"/>
      <c r="V30" s="2"/>
      <c r="W30" s="44"/>
      <c r="X30" s="2"/>
      <c r="Y30" s="44"/>
      <c r="Z30" s="2"/>
    </row>
    <row r="31" spans="1:26" s="25" customFormat="1" ht="12.75">
      <c r="A31" s="12" t="s">
        <v>58</v>
      </c>
      <c r="B31" s="26">
        <v>169</v>
      </c>
      <c r="C31" s="16">
        <v>140</v>
      </c>
      <c r="D31" s="28">
        <f aca="true" t="shared" si="13" ref="D31">C31/B31%</f>
        <v>82.84023668639054</v>
      </c>
      <c r="E31" s="26">
        <f aca="true" t="shared" si="14" ref="E31">C31*$C$33</f>
        <v>1604284.3739999998</v>
      </c>
      <c r="F31" s="26">
        <v>3</v>
      </c>
      <c r="G31" s="27" t="s">
        <v>28</v>
      </c>
      <c r="H31" s="24">
        <v>132</v>
      </c>
      <c r="I31" s="28">
        <f aca="true" t="shared" si="15" ref="I31">H31/C31%</f>
        <v>94.28571428571429</v>
      </c>
      <c r="J31" s="31">
        <f aca="true" t="shared" si="16" ref="J31">IF((E31*I31%)&lt;$C$35,$C$35,E31*I31%)</f>
        <v>1512610.9812</v>
      </c>
      <c r="K31" s="39"/>
      <c r="L31" s="26">
        <f aca="true" t="shared" si="17" ref="L31">K31*$C$33</f>
        <v>0</v>
      </c>
      <c r="M31" s="26">
        <v>3</v>
      </c>
      <c r="N31" s="27" t="s">
        <v>28</v>
      </c>
      <c r="O31" s="24"/>
      <c r="P31" s="28"/>
      <c r="Q31" s="41">
        <v>135</v>
      </c>
      <c r="R31" s="26">
        <f aca="true" t="shared" si="18" ref="R31">Q31*$C$33</f>
        <v>1546988.5034999999</v>
      </c>
      <c r="S31" s="26">
        <v>5</v>
      </c>
      <c r="T31" s="27" t="s">
        <v>59</v>
      </c>
      <c r="U31" s="24">
        <v>129</v>
      </c>
      <c r="V31" s="28">
        <f aca="true" t="shared" si="19" ref="V31">U31/Q31%</f>
        <v>95.55555555555554</v>
      </c>
      <c r="W31" s="46"/>
      <c r="X31" s="52">
        <f>(U31+O31+H31)/2</f>
        <v>130.5</v>
      </c>
      <c r="Y31" s="57">
        <f>(V31+P31+I31)/2</f>
        <v>94.92063492063491</v>
      </c>
      <c r="Z31" s="24">
        <f>IF(X31&lt;17,$C$35,X31*$C$33)</f>
        <v>1495422.22005</v>
      </c>
    </row>
    <row r="32" spans="1:22" ht="15" customHeight="1">
      <c r="A32" s="15"/>
      <c r="V32" s="43"/>
    </row>
    <row r="33" spans="1:17" ht="12.75">
      <c r="A33" s="15" t="s">
        <v>21</v>
      </c>
      <c r="C33" s="20">
        <f>11311*1.0131</f>
        <v>11459.174099999998</v>
      </c>
      <c r="K33" s="20"/>
      <c r="Q33" s="20"/>
    </row>
    <row r="35" spans="1:17" ht="12.75">
      <c r="A35" s="15" t="s">
        <v>22</v>
      </c>
      <c r="C35" s="20">
        <f>192000*1.0131</f>
        <v>194515.19999999998</v>
      </c>
      <c r="K35" s="20"/>
      <c r="Q35" s="20"/>
    </row>
    <row r="37" ht="12.75">
      <c r="A37" s="25" t="s">
        <v>35</v>
      </c>
    </row>
    <row r="38" ht="12.75">
      <c r="A38" s="3" t="s">
        <v>36</v>
      </c>
    </row>
  </sheetData>
  <printOptions/>
  <pageMargins left="0.75" right="0.18" top="0.85" bottom="0.33" header="0" footer="0"/>
  <pageSetup fitToHeight="1" fitToWidth="1" horizontalDpi="600" verticalDpi="600" orientation="landscape" paperSize="8" scale="92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børn i SFO pr. 5-9-2012</dc:title>
  <dc:subject>ØVRIGE</dc:subject>
  <dc:creator>LIAN</dc:creator>
  <cp:keywords/>
  <dc:description>Antal børn i SFO pr. 5-9-2012</dc:description>
  <cp:lastModifiedBy>Lissy Andersen</cp:lastModifiedBy>
  <cp:lastPrinted>2016-04-06T06:05:55Z</cp:lastPrinted>
  <dcterms:created xsi:type="dcterms:W3CDTF">2009-12-15T11:15:40Z</dcterms:created>
  <dcterms:modified xsi:type="dcterms:W3CDTF">2016-04-06T06:07:15Z</dcterms:modified>
  <cp:category/>
  <cp:version/>
  <cp:contentType/>
  <cp:contentStatus/>
</cp:coreProperties>
</file>